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40829f73a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водные" sheetId="1" r:id="Rddba1d9cc3bf4efc"/>
    <x:sheet xmlns:r="http://schemas.openxmlformats.org/officeDocument/2006/relationships" name="Денежный поток" sheetId="2" r:id="Reb0ae5fd8e5041d3"/>
    <x:sheet xmlns:r="http://schemas.openxmlformats.org/officeDocument/2006/relationships" name="Сценарии" sheetId="3" r:id="R9ff35c0c4b274cd8"/>
    <x:sheet xmlns:r="http://schemas.openxmlformats.org/officeDocument/2006/relationships" name="Выход" sheetId="4" r:id="Rd999e60f61a44df0"/>
    <x:sheet xmlns:r="http://schemas.openxmlformats.org/officeDocument/2006/relationships" name="Dashboard" sheetId="5" r:id="Rf573b6b76dc245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[Red](#,##0);-"/>
    <x:numFmt numFmtId="201" formatCode="#,##0"/>
    <x:numFmt numFmtId="202" formatCode="0.0%;[Red](0.0%);-"/>
    <x:numFmt numFmtId="203" formatCode="0"/>
    <x:numFmt numFmtId="204" formatCode="0.00x;[Red](0.00x);-"/>
  </x:numFmts>
  <x:fonts count="8">
    <x:font>
      <x:sz val="11"/>
      <x:name val="Carlito"/>
    </x:font>
    <x:font>
      <x:b/>
      <x:sz val="16"/>
      <x:color rgb="FF1F4E78"/>
      <x:name val="Carlito"/>
    </x:font>
    <x:font>
      <x:i/>
      <x:sz val="11"/>
      <x:color rgb="FF666666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b/>
      <x:sz val="11"/>
      <x:name val="Carlito"/>
    </x:font>
    <x:font>
      <x:sz val="11"/>
      <x:color rgb="FF00800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9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left"/>
    </x:xf>
    <x:xf numFmtId="0" fontId="1" fillId="0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3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left"/>
    </x:xf>
    <x:xf numFmtId="0" fontId="3" fillId="2" borderId="1" xfId="0" applyNumberFormat="1" applyFont="1" applyFill="1" applyBorder="1" applyAlignment="1">
      <x:alignment horizontal="left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0" borderId="0" xfId="0" applyNumberFormat="1" applyFont="1" applyFill="1" applyBorder="1"/>
    <x:xf numFmtId="200" fontId="4" fillId="0" borderId="1" xfId="0" applyNumberFormat="1" applyFont="1" applyFill="1" applyBorder="1"/>
    <x:xf numFmtId="201" fontId="4" fillId="0" borderId="1" xfId="0" applyNumberFormat="1" applyFont="1" applyFill="1" applyBorder="1"/>
    <x:xf numFmtId="202" fontId="4" fillId="0" borderId="1" xfId="0" applyNumberFormat="1" applyFont="1" applyFill="1" applyBorder="1"/>
    <x:xf numFmtId="200" fontId="4" fillId="3" borderId="0" xfId="0" applyNumberFormat="1" applyFont="1" applyFill="1" applyBorder="1"/>
    <x:xf numFmtId="200" fontId="4" fillId="3" borderId="1" xfId="0" applyNumberFormat="1" applyFont="1" applyFill="1" applyBorder="1"/>
    <x:xf numFmtId="202" fontId="4" fillId="3" borderId="0" xfId="0" applyNumberFormat="1" applyFont="1" applyFill="1" applyBorder="1"/>
    <x:xf numFmtId="202" fontId="4" fillId="3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4" fillId="0" borderId="0" xfId="0" applyNumberFormat="1" applyFont="1" applyFill="1" applyBorder="1"/>
    <x:xf numFmtId="203" fontId="4" fillId="0" borderId="1" xfId="0" applyNumberFormat="1" applyFont="1" applyFill="1" applyBorder="1"/>
    <x:xf numFmtId="203" fontId="4" fillId="3" borderId="0" xfId="0" applyNumberFormat="1" applyFont="1" applyFill="1" applyBorder="1"/>
    <x:xf numFmtId="203" fontId="4" fillId="3" borderId="1" xfId="0" applyNumberFormat="1" applyFont="1" applyFill="1" applyBorder="1"/>
    <x:xf numFmtId="200" fontId="5" fillId="0" borderId="0" xfId="0" applyNumberFormat="1" applyFont="1" applyFill="1" applyBorder="1"/>
    <x:xf numFmtId="202" fontId="5" fillId="0" borderId="0" xfId="0" applyNumberFormat="1" applyFont="1" applyFill="1" applyBorder="1"/>
    <x:xf numFmtId="200" fontId="5" fillId="0" borderId="1" xfId="0" applyNumberFormat="1" applyFont="1" applyFill="1" applyBorder="1"/>
    <x:xf numFmtId="202" fontId="5" fillId="0" borderId="1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2" fontId="4" fillId="3" borderId="0" xfId="0" applyNumberFormat="1" applyFont="1" applyFill="1" applyBorder="1" applyAlignment="1">
      <x:alignment wrapText="1"/>
    </x:xf>
    <x:xf numFmtId="202" fontId="4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203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2" fontId="5" fillId="0" borderId="0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4" fillId="3" borderId="1" xfId="0" applyNumberFormat="1" applyFont="1" applyFill="1" applyBorder="1" applyAlignment="1">
      <x:alignment wrapText="1"/>
    </x:xf>
    <x:xf numFmtId="201" fontId="4" fillId="0" borderId="1" xfId="0" applyNumberFormat="1" applyFont="1" applyFill="1" applyBorder="1" applyAlignment="1">
      <x:alignment wrapText="1"/>
    </x:xf>
    <x:xf numFmtId="200" fontId="4" fillId="0" borderId="1" xfId="0" applyNumberFormat="1" applyFont="1" applyFill="1" applyBorder="1" applyAlignment="1">
      <x:alignment wrapText="1"/>
    </x:xf>
    <x:xf numFmtId="202" fontId="4" fillId="3" borderId="1" xfId="0" applyNumberFormat="1" applyFont="1" applyFill="1" applyBorder="1" applyAlignment="1">
      <x:alignment wrapText="1"/>
    </x:xf>
    <x:xf numFmtId="202" fontId="4" fillId="0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left" vertical="center" wrapText="1"/>
    </x:xf>
    <x:xf numFmtId="203" fontId="4" fillId="3" borderId="1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202" fontId="5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0" fontId="7" fillId="0" borderId="0" xfId="0" applyNumberFormat="1" applyFont="1" applyFill="1" applyBorder="1"/>
    <x:xf numFmtId="204" fontId="7" fillId="0" borderId="0" xfId="0" applyNumberFormat="1" applyFont="1" applyFill="1" applyBorder="1"/>
    <x:xf numFmtId="200" fontId="7" fillId="0" borderId="1" xfId="0" applyNumberFormat="1" applyFont="1" applyFill="1" applyBorder="1"/>
    <x:xf numFmtId="204" fontId="7" fillId="0" borderId="1" xfId="0" applyNumberFormat="1" applyFont="1" applyFill="1" applyBorder="1"/>
    <x:xf numFmtId="200" fontId="7" fillId="0" borderId="0" xfId="0" applyNumberFormat="1" applyFont="1" applyFill="1" applyBorder="1" applyAlignment="1">
      <x:alignment wrapText="1"/>
    </x:xf>
    <x:xf numFmtId="204" fontId="7" fillId="0" borderId="0" xfId="0" applyNumberFormat="1" applyFont="1" applyFill="1" applyBorder="1" applyAlignment="1">
      <x:alignment wrapText="1"/>
    </x:xf>
    <x:xf numFmtId="200" fontId="7" fillId="0" borderId="1" xfId="0" applyNumberFormat="1" applyFont="1" applyFill="1" applyBorder="1" applyAlignment="1">
      <x:alignment wrapText="1"/>
    </x:xf>
    <x:xf numFmtId="204" fontId="7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2" fontId="7" fillId="0" borderId="0" xfId="0" applyNumberFormat="1" applyFont="1" applyFill="1" applyBorder="1"/>
    <x:xf numFmtId="202" fontId="7" fillId="0" borderId="1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C00000"/>
      </x:font>
      <x:fill>
        <x:patternFill patternType="solid">
          <x:bgColor rgb="FFFCE8E6"/>
        </x:patternFill>
      </x:fill>
    </x:dxf>
    <x:dxf>
      <x:font>
        <x:color rgb="FFC00000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c65444b2840cd" /><Relationship Type="http://schemas.openxmlformats.org/officeDocument/2006/relationships/theme" Target="/xl/theme/theme1.xml" Id="Re92c022e8a4a4770" /><Relationship Type="http://schemas.openxmlformats.org/officeDocument/2006/relationships/sharedStrings" Target="/xl/sharedStrings.xml" Id="R3f82993c955a47d2" /><Relationship Type="http://schemas.openxmlformats.org/officeDocument/2006/relationships/worksheet" Target="/xl/worksheets/sheet1.xml" Id="Rddba1d9cc3bf4efc" /><Relationship Type="http://schemas.openxmlformats.org/officeDocument/2006/relationships/worksheet" Target="/xl/worksheets/sheet2.xml" Id="Reb0ae5fd8e5041d3" /><Relationship Type="http://schemas.openxmlformats.org/officeDocument/2006/relationships/worksheet" Target="/xl/worksheets/sheet3.xml" Id="R9ff35c0c4b274cd8" /><Relationship Type="http://schemas.openxmlformats.org/officeDocument/2006/relationships/worksheet" Target="/xl/worksheets/sheet4.xml" Id="Rd999e60f61a44df0" /><Relationship Type="http://schemas.openxmlformats.org/officeDocument/2006/relationships/worksheet" Target="/xl/worksheets/sheet5.xml" Id="Rf573b6b76dc2454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cefba54fc0a4338" /><Relationship Type="http://schemas.openxmlformats.org/officeDocument/2006/relationships/chart" Target="/xl/drawings/charts/chart2.xml" Id="Rb6a140f3f0e34529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Долг</c:v>
          </c:tx>
          <c:marker>
            <c:symbol val="none"/>
          </c:marker>
          <c:cat>
            <c:strRef>
              <c:f>'Выход'!$A$4:$A$23</c:f>
              <c:strCache>
                <c:ptCount val="0"/>
              </c:strCache>
            </c:strRef>
          </c:cat>
          <c:val>
            <c:numRef>
              <c:f>'Выход'!$E$4:$E$23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Капитал</c:v>
          </c:tx>
          <c:marker>
            <c:symbol val="none"/>
          </c:marker>
          <c:cat>
            <c:strRef>
              <c:f>'Выход'!$A$4:$A$23</c:f>
              <c:strCache>
                <c:ptCount val="0"/>
              </c:strCache>
            </c:strRef>
          </c:cat>
          <c:val>
            <c:numRef>
              <c:f>'Выход'!$G$4:$G$23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</xdr:row>
      <xdr:rowOff>0</xdr:rowOff>
    </xdr:from>
    <xdr:to>
      <xdr:col>11</xdr:col>
      <xdr:colOff>0</xdr:colOff>
      <xdr:row>13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cefba54fc0a4338"/>
        </a:graphicData>
      </a:graphic>
    </xdr:graphicFrame>
    <xdr:clientData/>
  </xdr:twoCellAnchor>
  <xdr:twoCellAnchor>
    <xdr:from>
      <xdr:col>3</xdr:col>
      <xdr:colOff>0</xdr:colOff>
      <xdr:row>13</xdr:row>
      <xdr:rowOff>0</xdr:rowOff>
    </xdr:from>
    <xdr:to>
      <xdr:col>11</xdr:col>
      <xdr:colOff>0</xdr:colOff>
      <xdr:row>26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6a140f3f0e345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c41deccbef734664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4" hidden="0" customWidth="1"/>
    <x:col min="4" max="4" width="48" hidden="0" customWidth="1"/>
  </x:cols>
  <x:sheetData>
    <x:row r="1">
      <x:c r="A1" s="4" t="str">
        <x:v>Финансовая модель объекта недвижимости</x:v>
      </x:c>
      <x:c r="B1" s="4"/>
      <x:c r="C1" s="4"/>
      <x:c r="D1" s="4"/>
    </x:row>
    <x:row r="2">
      <x:c r="A2" s="8" t="str">
        <x:v>Синие ячейки — вводные. Желтые — ключевые допущения.</x:v>
      </x:c>
      <x:c r="B2" s="8" t="str"/>
      <x:c r="C2" s="8" t="str"/>
      <x:c r="D2" s="8" t="str"/>
    </x:row>
    <x:row r="4">
      <x:c r="A4" s="13" t="str">
        <x:v>ОБЪЕКТ И ДОХОД</x:v>
      </x:c>
      <x:c r="B4" s="13"/>
      <x:c r="C4" s="13"/>
      <x:c r="D4" s="13"/>
    </x:row>
    <x:row r="5">
      <x:c r="A5" s="48" t="str">
        <x:v>Параметр</x:v>
      </x:c>
      <x:c r="B5" s="48" t="str">
        <x:v>Значение</x:v>
      </x:c>
      <x:c r="C5" s="48" t="str">
        <x:v>Ед.</x:v>
      </x:c>
      <x:c r="D5" s="48" t="str">
        <x:v>Источник / комментарий</x:v>
      </x:c>
    </x:row>
    <x:row r="6">
      <x:c r="A6" s="49" t="str">
        <x:v>Цена объекта</x:v>
      </x:c>
      <x:c r="B6" s="50" t="n">
        <x:v>20000000</x:v>
      </x:c>
      <x:c r="C6" s="49" t="str">
        <x:v>руб.</x:v>
      </x:c>
      <x:c r="D6" s="49" t="str">
        <x:v>Пример из книги; замените своей ценой</x:v>
      </x:c>
    </x:row>
    <x:row r="7">
      <x:c r="A7" s="49" t="str">
        <x:v>Площадь</x:v>
      </x:c>
      <x:c r="B7" s="51" t="n">
        <x:v>100</x:v>
      </x:c>
      <x:c r="C7" s="49" t="str">
        <x:v>м²</x:v>
      </x:c>
      <x:c r="D7" s="49" t="str">
        <x:v>Введите фактическую площадь</x:v>
      </x:c>
    </x:row>
    <x:row r="8">
      <x:c r="A8" s="49" t="str">
        <x:v>Расходы на сделку</x:v>
      </x:c>
      <x:c r="B8" s="52" t="n">
        <x:v>0</x:v>
      </x:c>
      <x:c r="C8" s="49" t="str">
        <x:v>руб.</x:v>
      </x:c>
      <x:c r="D8" s="49" t="str">
        <x:v>Нотариус, регистрация, оценка и др.</x:v>
      </x:c>
    </x:row>
    <x:row r="9">
      <x:c r="A9" s="49" t="str">
        <x:v>Начальный CAPEX</x:v>
      </x:c>
      <x:c r="B9" s="52" t="n">
        <x:v>0</x:v>
      </x:c>
      <x:c r="C9" s="49" t="str">
        <x:v>руб.</x:v>
      </x:c>
      <x:c r="D9" s="49" t="str">
        <x:v>Ремонт/подготовка, если оплачивает собственник</x:v>
      </x:c>
    </x:row>
    <x:row r="10">
      <x:c r="A10" s="49" t="str">
        <x:v>Рыночная аренда в месяц</x:v>
      </x:c>
      <x:c r="B10" s="50" t="n">
        <x:v>200000</x:v>
      </x:c>
      <x:c r="C10" s="49" t="str">
        <x:v>руб./мес.</x:v>
      </x:c>
      <x:c r="D10" s="49" t="str">
        <x:v>Проверяйте независимыми предложениями</x:v>
      </x:c>
    </x:row>
    <x:row r="11">
      <x:c r="A11" s="49" t="str">
        <x:v>Вакансия / недополучение</x:v>
      </x:c>
      <x:c r="B11" s="53" t="n">
        <x:v>0.05</x:v>
      </x:c>
      <x:c r="C11" s="49" t="str">
        <x:v>% выручки</x:v>
      </x:c>
      <x:c r="D11" s="49" t="str">
        <x:v>Базовое допущение</x:v>
      </x:c>
    </x:row>
    <x:row r="12">
      <x:c r="A12" s="49" t="str">
        <x:v>Индексация аренды</x:v>
      </x:c>
      <x:c r="B12" s="53" t="n">
        <x:v>0.07</x:v>
      </x:c>
      <x:c r="C12" s="49" t="str">
        <x:v>%/год</x:v>
      </x:c>
      <x:c r="D12" s="49" t="str">
        <x:v>Сценарий, не гарантия</x:v>
      </x:c>
    </x:row>
    <x:row r="13">
      <x:c r="A13" s="49" t="str">
        <x:v>Расходы собственника в год</x:v>
      </x:c>
      <x:c r="B13" s="52" t="n">
        <x:v>250000</x:v>
      </x:c>
      <x:c r="C13" s="49" t="str">
        <x:v>руб./год</x:v>
      </x:c>
      <x:c r="D13" s="49" t="str">
        <x:v>Налоги на объект, страхование, ремонт и др.</x:v>
      </x:c>
    </x:row>
    <x:row r="14">
      <x:c r="A14" s="49" t="str">
        <x:v>Рост расходов</x:v>
      </x:c>
      <x:c r="B14" s="54" t="n">
        <x:v>0.05</x:v>
      </x:c>
      <x:c r="C14" s="49" t="str">
        <x:v>%/год</x:v>
      </x:c>
      <x:c r="D14" s="49" t="str">
        <x:v>Сценарий</x:v>
      </x:c>
    </x:row>
    <x:row r="15">
      <x:c r="A15" s="49"/>
      <x:c r="B15" s="49"/>
      <x:c r="C15" s="49"/>
      <x:c r="D15" s="49"/>
    </x:row>
    <x:row r="16">
      <x:c r="A16" s="55" t="str">
        <x:v>ФИНАНСИРОВАНИЕ</x:v>
      </x:c>
      <x:c r="B16" s="55"/>
      <x:c r="C16" s="55"/>
      <x:c r="D16" s="55"/>
    </x:row>
    <x:row r="17">
      <x:c r="A17" s="48" t="str">
        <x:v>Параметр</x:v>
      </x:c>
      <x:c r="B17" s="48" t="str">
        <x:v>Значение</x:v>
      </x:c>
      <x:c r="C17" s="48" t="str">
        <x:v>Ед.</x:v>
      </x:c>
      <x:c r="D17" s="48" t="str">
        <x:v>Источник / комментарий</x:v>
      </x:c>
    </x:row>
    <x:row r="18">
      <x:c r="A18" s="49" t="str">
        <x:v>Первоначальный капитал</x:v>
      </x:c>
      <x:c r="B18" s="50" t="n">
        <x:v>2000000</x:v>
      </x:c>
      <x:c r="C18" s="49" t="str">
        <x:v>руб.</x:v>
      </x:c>
      <x:c r="D18" s="49" t="str">
        <x:v>Собственные средства</x:v>
      </x:c>
    </x:row>
    <x:row r="19">
      <x:c r="A19" s="49" t="str">
        <x:v>Ставка кредита</x:v>
      </x:c>
      <x:c r="B19" s="53" t="n">
        <x:v>0.1</x:v>
      </x:c>
      <x:c r="C19" s="49" t="str">
        <x:v>%/год</x:v>
      </x:c>
      <x:c r="D19" s="49" t="str">
        <x:v>Введите фактическую эффективную ставку</x:v>
      </x:c>
    </x:row>
    <x:row r="20">
      <x:c r="A20" s="49" t="str">
        <x:v>Срок кредита</x:v>
      </x:c>
      <x:c r="B20" s="56" t="n">
        <x:v>20</x:v>
      </x:c>
      <x:c r="C20" s="49" t="str">
        <x:v>лет</x:v>
      </x:c>
      <x:c r="D20" s="49" t="str">
        <x:v>Введите срок договора</x:v>
      </x:c>
    </x:row>
    <x:row r="21">
      <x:c r="A21" s="49" t="str">
        <x:v>Сумма кредита</x:v>
      </x:c>
      <x:c r="B21" s="57" t="n">
        <x:f>MAX(0,B6+B8+B9-B18)</x:f>
        <x:v>18000000</x:v>
      </x:c>
      <x:c r="C21" s="49" t="str">
        <x:v>руб.</x:v>
      </x:c>
      <x:c r="D21" s="49" t="str">
        <x:v>Цена + сделка + CAPEX − свой капитал</x:v>
      </x:c>
    </x:row>
    <x:row r="22">
      <x:c r="A22" s="49" t="str">
        <x:v>LTV</x:v>
      </x:c>
      <x:c r="B22" s="58" t="n">
        <x:f>IF(B6=0,0,B21/B6)</x:f>
        <x:v>0.9</x:v>
      </x:c>
      <x:c r="C22" s="49" t="str">
        <x:v>%</x:v>
      </x:c>
      <x:c r="D22" s="49" t="str">
        <x:v>Сумма кредита / цена объекта</x:v>
      </x:c>
    </x:row>
    <x:row r="23">
      <x:c r="A23" s="49" t="str">
        <x:v>Аннуитетный платеж в год</x:v>
      </x:c>
      <x:c r="B23" s="57" t="n">
        <x:f>IF(B21=0,0,IF(B19=0,B21/B20,B21*B19*(1+B19)^B20/((1+B19)^B20-1)))</x:f>
        <x:v>2114273.2459058235</x:v>
      </x:c>
      <x:c r="C23" s="49" t="str">
        <x:v>руб./год</x:v>
      </x:c>
      <x:c r="D23" s="49" t="str">
        <x:v>Расчет; сверить с банковским графиком</x:v>
      </x:c>
    </x:row>
    <x:row r="24">
      <x:c r="A24" s="49"/>
      <x:c r="B24" s="49"/>
      <x:c r="C24" s="49"/>
      <x:c r="D24" s="49"/>
    </x:row>
    <x:row r="25">
      <x:c r="A25" s="55" t="str">
        <x:v>ВЫХОД И РЕЗЕРВ</x:v>
      </x:c>
      <x:c r="B25" s="55"/>
      <x:c r="C25" s="55"/>
      <x:c r="D25" s="55"/>
    </x:row>
    <x:row r="26">
      <x:c r="A26" s="48" t="str">
        <x:v>Параметр</x:v>
      </x:c>
      <x:c r="B26" s="48" t="str">
        <x:v>Значение</x:v>
      </x:c>
      <x:c r="C26" s="48" t="str">
        <x:v>Ед.</x:v>
      </x:c>
      <x:c r="D26" s="48" t="str">
        <x:v>Источник / комментарий</x:v>
      </x:c>
    </x:row>
    <x:row r="27">
      <x:c r="A27" s="49" t="str">
        <x:v>Ставка капитализации на выходе</x:v>
      </x:c>
      <x:c r="B27" s="53" t="n">
        <x:v>0.1</x:v>
      </x:c>
      <x:c r="C27" s="49" t="str">
        <x:v>%</x:v>
      </x:c>
      <x:c r="D27" s="49" t="str">
        <x:v>Доходный сценарий на момент продажи</x:v>
      </x:c>
    </x:row>
    <x:row r="28">
      <x:c r="A28" s="49" t="str">
        <x:v>Расходы на продажу</x:v>
      </x:c>
      <x:c r="B28" s="53" t="n">
        <x:v>0.02</x:v>
      </x:c>
      <x:c r="C28" s="49" t="str">
        <x:v>% цены</x:v>
      </x:c>
      <x:c r="D28" s="49" t="str">
        <x:v>Комиссии/оформление/прочее</x:v>
      </x:c>
    </x:row>
    <x:row r="29">
      <x:c r="A29" s="49" t="str">
        <x:v>Резерв ликвидности</x:v>
      </x:c>
      <x:c r="B29" s="56" t="n">
        <x:v>6</x:v>
      </x:c>
      <x:c r="C29" s="49" t="str">
        <x:v>месяцев</x:v>
      </x:c>
      <x:c r="D29" s="49" t="str">
        <x:v>Месяцы обязательств, которые держим кэшем</x:v>
      </x:c>
    </x:row>
  </x:sheetData>
  <x:mergeCells>
    <x:mergeCell ref="A1:D1"/>
    <x:mergeCell ref="A4:D4"/>
    <x:mergeCell ref="A16:D16"/>
    <x:mergeCell ref="A25:D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2" hidden="0" customWidth="1"/>
  </x:cols>
  <x:sheetData>
    <x:row r="1">
      <x:c r="A1" s="4" t="str">
        <x:v>Денежный поток и кредит — 20 лет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3">
      <x:c r="A3" s="70" t="str">
        <x:v>Год</x:v>
      </x:c>
      <x:c r="B3" s="70" t="str">
        <x:v>Валовая аренда, руб.</x:v>
      </x:c>
      <x:c r="C3" s="70" t="str">
        <x:v>Вакансия, руб.</x:v>
      </x:c>
      <x:c r="D3" s="70" t="str">
        <x:v>Эффективный доход, руб.</x:v>
      </x:c>
      <x:c r="E3" s="70" t="str">
        <x:v>Расходы собственника, руб.</x:v>
      </x:c>
      <x:c r="F3" s="70" t="str">
        <x:v>NOI, руб.</x:v>
      </x:c>
      <x:c r="G3" s="70" t="str">
        <x:v>Долг на начало, руб.</x:v>
      </x:c>
      <x:c r="H3" s="70" t="str">
        <x:v>Проценты, руб.</x:v>
      </x:c>
      <x:c r="I3" s="70" t="str">
        <x:v>Платеж банку, руб.</x:v>
      </x:c>
      <x:c r="J3" s="70" t="str">
        <x:v>Долг на конец, руб.</x:v>
      </x:c>
      <x:c r="K3" s="70" t="str">
        <x:v>DSCR, x</x:v>
      </x:c>
    </x:row>
    <x:row r="4">
      <x:c r="A4" s="49" t="n">
        <x:v>1</x:v>
      </x:c>
      <x:c r="B4" s="78" t="n">
        <x:f>'Вводные'!B10*12</x:f>
        <x:v>2400000</x:v>
      </x:c>
      <x:c r="C4" s="78" t="n">
        <x:f>B4*'Вводные'!B11</x:f>
        <x:v>120000</x:v>
      </x:c>
      <x:c r="D4" s="78" t="n">
        <x:f>B4-C4</x:f>
        <x:v>2280000</x:v>
      </x:c>
      <x:c r="E4" s="78" t="n">
        <x:f>'Вводные'!B13</x:f>
        <x:v>250000</x:v>
      </x:c>
      <x:c r="F4" s="78" t="n">
        <x:f>D4-E4</x:f>
        <x:v>2030000</x:v>
      </x:c>
      <x:c r="G4" s="78" t="n">
        <x:f>'Вводные'!B21</x:f>
        <x:v>18000000</x:v>
      </x:c>
      <x:c r="H4" s="78" t="n">
        <x:f>G4*'Вводные'!B19</x:f>
        <x:v>1800000</x:v>
      </x:c>
      <x:c r="I4" s="78" t="n">
        <x:f>IF(G4&lt;=0,0,MIN('Вводные'!B23,G4+H4))</x:f>
        <x:v>2114273.2459058235</x:v>
      </x:c>
      <x:c r="J4" s="78" t="n">
        <x:f>MAX(0,G4-MAX(0,I4-H4))</x:f>
        <x:v>17685726.754094176</x:v>
      </x:c>
      <x:c r="K4" s="79" t="n">
        <x:f>IF(I4=0,0,F4/I4)</x:f>
        <x:v>0.9601407972838827</x:v>
      </x:c>
    </x:row>
    <x:row r="5">
      <x:c r="A5" s="49" t="n">
        <x:v>2</x:v>
      </x:c>
      <x:c r="B5" s="78" t="n">
        <x:f>B4*(1+'Вводные'!B12)</x:f>
        <x:v>2568000</x:v>
      </x:c>
      <x:c r="C5" s="78" t="n">
        <x:f>B5*'Вводные'!B11</x:f>
        <x:v>128400</x:v>
      </x:c>
      <x:c r="D5" s="78" t="n">
        <x:f>B5-C5</x:f>
        <x:v>2439600</x:v>
      </x:c>
      <x:c r="E5" s="78" t="n">
        <x:f>E4*(1+'Вводные'!B14)</x:f>
        <x:v>262500</x:v>
      </x:c>
      <x:c r="F5" s="78" t="n">
        <x:f>D5-E5</x:f>
        <x:v>2177100</x:v>
      </x:c>
      <x:c r="G5" s="78" t="n">
        <x:f>J4</x:f>
        <x:v>17685726.754094176</x:v>
      </x:c>
      <x:c r="H5" s="78" t="n">
        <x:f>G5*'Вводные'!B19</x:f>
        <x:v>1768572.6754094176</x:v>
      </x:c>
      <x:c r="I5" s="78" t="n">
        <x:f>IF(G5&lt;=0,0,MIN('Вводные'!B23,G5+H5))</x:f>
        <x:v>2114273.2459058235</x:v>
      </x:c>
      <x:c r="J5" s="78" t="n">
        <x:f>MAX(0,G5-MAX(0,I5-H5))</x:f>
        <x:v>17340026.18359777</x:v>
      </x:c>
      <x:c r="K5" s="79" t="n">
        <x:f>IF(I5=0,0,F5/I5)</x:f>
        <x:v>1.0297155319047986</x:v>
      </x:c>
    </x:row>
    <x:row r="6">
      <x:c r="A6" s="49" t="n">
        <x:v>3</x:v>
      </x:c>
      <x:c r="B6" s="78" t="n">
        <x:f>B5*(1+'Вводные'!B12)</x:f>
        <x:v>2747760</x:v>
      </x:c>
      <x:c r="C6" s="78" t="n">
        <x:f>B6*'Вводные'!B11</x:f>
        <x:v>137388</x:v>
      </x:c>
      <x:c r="D6" s="78" t="n">
        <x:f>B6-C6</x:f>
        <x:v>2610372</x:v>
      </x:c>
      <x:c r="E6" s="78" t="n">
        <x:f>E5*(1+'Вводные'!B14)</x:f>
        <x:v>275625</x:v>
      </x:c>
      <x:c r="F6" s="78" t="n">
        <x:f>D6-E6</x:f>
        <x:v>2334747</x:v>
      </x:c>
      <x:c r="G6" s="78" t="n">
        <x:f>J5</x:f>
        <x:v>17340026.18359777</x:v>
      </x:c>
      <x:c r="H6" s="78" t="n">
        <x:f>G6*'Вводные'!B19</x:f>
        <x:v>1734002.6183597771</x:v>
      </x:c>
      <x:c r="I6" s="78" t="n">
        <x:f>IF(G6&lt;=0,0,MIN('Вводные'!B23,G6+H6))</x:f>
        <x:v>2114273.2459058235</x:v>
      </x:c>
      <x:c r="J6" s="78" t="n">
        <x:f>MAX(0,G6-MAX(0,I6-H6))</x:f>
        <x:v>16959755.556051724</x:v>
      </x:c>
      <x:c r="K6" s="79" t="n">
        <x:f>IF(I6=0,0,F6/I6)</x:f>
        <x:v>1.1042787418897306</x:v>
      </x:c>
    </x:row>
    <x:row r="7">
      <x:c r="A7" s="49" t="n">
        <x:v>4</x:v>
      </x:c>
      <x:c r="B7" s="78" t="n">
        <x:f>B6*(1+'Вводные'!B12)</x:f>
        <x:v>2940103.2</x:v>
      </x:c>
      <x:c r="C7" s="78" t="n">
        <x:f>B7*'Вводные'!B11</x:f>
        <x:v>147005.16</x:v>
      </x:c>
      <x:c r="D7" s="78" t="n">
        <x:f>B7-C7</x:f>
        <x:v>2793098.04</x:v>
      </x:c>
      <x:c r="E7" s="78" t="n">
        <x:f>E6*(1+'Вводные'!B14)</x:f>
        <x:v>289406.25</x:v>
      </x:c>
      <x:c r="F7" s="78" t="n">
        <x:f>D7-E7</x:f>
        <x:v>2503691.79</x:v>
      </x:c>
      <x:c r="G7" s="78" t="n">
        <x:f>J6</x:f>
        <x:v>16959755.556051724</x:v>
      </x:c>
      <x:c r="H7" s="78" t="n">
        <x:f>G7*'Вводные'!B19</x:f>
        <x:v>1695975.5556051724</x:v>
      </x:c>
      <x:c r="I7" s="78" t="n">
        <x:f>IF(G7&lt;=0,0,MIN('Вводные'!B23,G7+H7))</x:f>
        <x:v>2114273.2459058235</x:v>
      </x:c>
      <x:c r="J7" s="78" t="n">
        <x:f>MAX(0,G7-MAX(0,I7-H7))</x:f>
        <x:v>16541457.865751073</x:v>
      </x:c>
      <x:c r="K7" s="79" t="n">
        <x:f>IF(I7=0,0,F7/I7)</x:f>
        <x:v>1.1841855327111879</x:v>
      </x:c>
    </x:row>
    <x:row r="8">
      <x:c r="A8" s="49" t="n">
        <x:v>5</x:v>
      </x:c>
      <x:c r="B8" s="78" t="n">
        <x:f>B7*(1+'Вводные'!B12)</x:f>
        <x:v>3145910.4240000006</x:v>
      </x:c>
      <x:c r="C8" s="78" t="n">
        <x:f>B8*'Вводные'!B11</x:f>
        <x:v>157295.52120000005</x:v>
      </x:c>
      <x:c r="D8" s="78" t="n">
        <x:f>B8-C8</x:f>
        <x:v>2988614.9028000007</x:v>
      </x:c>
      <x:c r="E8" s="78" t="n">
        <x:f>E7*(1+'Вводные'!B14)</x:f>
        <x:v>303876.5625</x:v>
      </x:c>
      <x:c r="F8" s="78" t="n">
        <x:f>D8-E8</x:f>
        <x:v>2684738.3403000007</x:v>
      </x:c>
      <x:c r="G8" s="78" t="n">
        <x:f>J7</x:f>
        <x:v>16541457.865751073</x:v>
      </x:c>
      <x:c r="H8" s="78" t="n">
        <x:f>G8*'Вводные'!B19</x:f>
        <x:v>1654145.7865751074</x:v>
      </x:c>
      <x:c r="I8" s="78" t="n">
        <x:f>IF(G8&lt;=0,0,MIN('Вводные'!B23,G8+H8))</x:f>
        <x:v>2114273.2459058235</x:v>
      </x:c>
      <x:c r="J8" s="78" t="n">
        <x:f>MAX(0,G8-MAX(0,I8-H8))</x:f>
        <x:v>16081330.406420358</x:v>
      </x:c>
      <x:c r="K8" s="79" t="n">
        <x:f>IF(I8=0,0,F8/I8)</x:f>
        <x:v>1.2698161628346063</x:v>
      </x:c>
    </x:row>
    <x:row r="9">
      <x:c r="A9" s="49" t="n">
        <x:v>6</x:v>
      </x:c>
      <x:c r="B9" s="78" t="n">
        <x:f>B8*(1+'Вводные'!B12)</x:f>
        <x:v>3366124.153680001</x:v>
      </x:c>
      <x:c r="C9" s="78" t="n">
        <x:f>B9*'Вводные'!B11</x:f>
        <x:v>168306.20768400005</x:v>
      </x:c>
      <x:c r="D9" s="78" t="n">
        <x:f>B9-C9</x:f>
        <x:v>3197817.945996001</x:v>
      </x:c>
      <x:c r="E9" s="78" t="n">
        <x:f>E8*(1+'Вводные'!B14)</x:f>
        <x:v>319070.390625</x:v>
      </x:c>
      <x:c r="F9" s="78" t="n">
        <x:f>D9-E9</x:f>
        <x:v>2878747.555371001</x:v>
      </x:c>
      <x:c r="G9" s="78" t="n">
        <x:f>J8</x:f>
        <x:v>16081330.406420358</x:v>
      </x:c>
      <x:c r="H9" s="78" t="n">
        <x:f>G9*'Вводные'!B19</x:f>
        <x:v>1608133.040642036</x:v>
      </x:c>
      <x:c r="I9" s="78" t="n">
        <x:f>IF(G9&lt;=0,0,MIN('Вводные'!B23,G9+H9))</x:f>
        <x:v>2114273.2459058235</x:v>
      </x:c>
      <x:c r="J9" s="78" t="n">
        <x:f>MAX(0,G9-MAX(0,I9-H9))</x:f>
        <x:v>15575190.20115657</x:v>
      </x:c>
      <x:c r="K9" s="79" t="n">
        <x:f>IF(I9=0,0,F9/I9)</x:f>
        <x:v>1.3615778192083454</x:v>
      </x:c>
    </x:row>
    <x:row r="10">
      <x:c r="A10" s="49" t="n">
        <x:v>7</x:v>
      </x:c>
      <x:c r="B10" s="78" t="n">
        <x:f>B9*(1+'Вводные'!B12)</x:f>
        <x:v>3601752.844437601</x:v>
      </x:c>
      <x:c r="C10" s="78" t="n">
        <x:f>B10*'Вводные'!B11</x:f>
        <x:v>180087.64222188006</x:v>
      </x:c>
      <x:c r="D10" s="78" t="n">
        <x:f>B10-C10</x:f>
        <x:v>3421665.202215721</x:v>
      </x:c>
      <x:c r="E10" s="78" t="n">
        <x:f>E9*(1+'Вводные'!B14)</x:f>
        <x:v>335023.91015625</x:v>
      </x:c>
      <x:c r="F10" s="78" t="n">
        <x:f>D10-E10</x:f>
        <x:v>3086641.292059471</x:v>
      </x:c>
      <x:c r="G10" s="78" t="n">
        <x:f>J9</x:f>
        <x:v>15575190.20115657</x:v>
      </x:c>
      <x:c r="H10" s="78" t="n">
        <x:f>G10*'Вводные'!B19</x:f>
        <x:v>1557519.020115657</x:v>
      </x:c>
      <x:c r="I10" s="78" t="n">
        <x:f>IF(G10&lt;=0,0,MIN('Вводные'!B23,G10+H10))</x:f>
        <x:v>2114273.2459058235</x:v>
      </x:c>
      <x:c r="J10" s="78" t="n">
        <x:f>MAX(0,G10-MAX(0,I10-H10))</x:f>
        <x:v>15018435.975366402</x:v>
      </x:c>
      <x:c r="K10" s="79" t="n">
        <x:f>IF(I10=0,0,F10/I10)</x:f>
        <x:v>1.4599065177770119</x:v>
      </x:c>
    </x:row>
    <x:row r="11">
      <x:c r="A11" s="49" t="n">
        <x:v>8</x:v>
      </x:c>
      <x:c r="B11" s="78" t="n">
        <x:f>B10*(1+'Вводные'!B12)</x:f>
        <x:v>3853875.5435482333</x:v>
      </x:c>
      <x:c r="C11" s="78" t="n">
        <x:f>B11*'Вводные'!B11</x:f>
        <x:v>192693.77717741168</x:v>
      </x:c>
      <x:c r="D11" s="78" t="n">
        <x:f>B11-C11</x:f>
        <x:v>3661181.7663708217</x:v>
      </x:c>
      <x:c r="E11" s="78" t="n">
        <x:f>E10*(1+'Вводные'!B14)</x:f>
        <x:v>351775.1056640625</x:v>
      </x:c>
      <x:c r="F11" s="78" t="n">
        <x:f>D11-E11</x:f>
        <x:v>3309406.6607067594</x:v>
      </x:c>
      <x:c r="G11" s="78" t="n">
        <x:f>J10</x:f>
        <x:v>15018435.975366402</x:v>
      </x:c>
      <x:c r="H11" s="78" t="n">
        <x:f>G11*'Вводные'!B19</x:f>
        <x:v>1501843.5975366402</x:v>
      </x:c>
      <x:c r="I11" s="78" t="n">
        <x:f>IF(G11&lt;=0,0,MIN('Вводные'!B23,G11+H11))</x:f>
        <x:v>2114273.2459058235</x:v>
      </x:c>
      <x:c r="J11" s="78" t="n">
        <x:f>MAX(0,G11-MAX(0,I11-H11))</x:f>
        <x:v>14406006.326997219</x:v>
      </x:c>
      <x:c r="K11" s="79" t="n">
        <x:f>IF(I11=0,0,F11/I11)</x:f>
        <x:v>1.5652691378066896</x:v>
      </x:c>
    </x:row>
    <x:row r="12">
      <x:c r="A12" s="49" t="n">
        <x:v>9</x:v>
      </x:c>
      <x:c r="B12" s="78" t="n">
        <x:f>B11*(1+'Вводные'!B12)</x:f>
        <x:v>4123646.83159661</x:v>
      </x:c>
      <x:c r="C12" s="78" t="n">
        <x:f>B12*'Вводные'!B11</x:f>
        <x:v>206182.3415798305</x:v>
      </x:c>
      <x:c r="D12" s="78" t="n">
        <x:f>B12-C12</x:f>
        <x:v>3917464.49001678</x:v>
      </x:c>
      <x:c r="E12" s="78" t="n">
        <x:f>E11*(1+'Вводные'!B14)</x:f>
        <x:v>369363.86094726564</x:v>
      </x:c>
      <x:c r="F12" s="78" t="n">
        <x:f>D12-E12</x:f>
        <x:v>3548100.629069514</x:v>
      </x:c>
      <x:c r="G12" s="78" t="n">
        <x:f>J11</x:f>
        <x:v>14406006.326997219</x:v>
      </x:c>
      <x:c r="H12" s="78" t="n">
        <x:f>G12*'Вводные'!B19</x:f>
        <x:v>1440600.632699722</x:v>
      </x:c>
      <x:c r="I12" s="78" t="n">
        <x:f>IF(G12&lt;=0,0,MIN('Вводные'!B23,G12+H12))</x:f>
        <x:v>2114273.2459058235</x:v>
      </x:c>
      <x:c r="J12" s="78" t="n">
        <x:f>MAX(0,G12-MAX(0,I12-H12))</x:f>
        <x:v>13732333.713791117</x:v>
      </x:c>
      <x:c r="K12" s="79" t="n">
        <x:f>IF(I12=0,0,F12/I12)</x:f>
        <x:v>1.678165599427709</x:v>
      </x:c>
    </x:row>
    <x:row r="13">
      <x:c r="A13" s="49" t="n">
        <x:v>10</x:v>
      </x:c>
      <x:c r="B13" s="78" t="n">
        <x:f>B12*(1+'Вводные'!B12)</x:f>
        <x:v>4412302.109808373</x:v>
      </x:c>
      <x:c r="C13" s="78" t="n">
        <x:f>B13*'Вводные'!B11</x:f>
        <x:v>220615.10549041867</x:v>
      </x:c>
      <x:c r="D13" s="78" t="n">
        <x:f>B13-C13</x:f>
        <x:v>4191687.0043179546</x:v>
      </x:c>
      <x:c r="E13" s="78" t="n">
        <x:f>E12*(1+'Вводные'!B14)</x:f>
        <x:v>387832.05399462895</x:v>
      </x:c>
      <x:c r="F13" s="78" t="n">
        <x:f>D13-E13</x:f>
        <x:v>3803854.9503233256</x:v>
      </x:c>
      <x:c r="G13" s="78" t="n">
        <x:f>J12</x:f>
        <x:v>13732333.713791117</x:v>
      </x:c>
      <x:c r="H13" s="78" t="n">
        <x:f>G13*'Вводные'!B19</x:f>
        <x:v>1373233.371379112</x:v>
      </x:c>
      <x:c r="I13" s="78" t="n">
        <x:f>IF(G13&lt;=0,0,MIN('Вводные'!B23,G13+H13))</x:f>
        <x:v>2114273.2459058235</x:v>
      </x:c>
      <x:c r="J13" s="78" t="n">
        <x:f>MAX(0,G13-MAX(0,I13-H13))</x:f>
        <x:v>12991293.839264406</x:v>
      </x:c>
      <x:c r="K13" s="79" t="n">
        <x:f>IF(I13=0,0,F13/I13)</x:f>
        <x:v>1.799131194460927</x:v>
      </x:c>
    </x:row>
    <x:row r="14">
      <x:c r="A14" s="49" t="n">
        <x:v>11</x:v>
      </x:c>
      <x:c r="B14" s="78" t="n">
        <x:f>B13*(1+'Вводные'!B12)</x:f>
        <x:v>4721163.25749496</x:v>
      </x:c>
      <x:c r="C14" s="78" t="n">
        <x:f>B14*'Вводные'!B11</x:f>
        <x:v>236058.162874748</x:v>
      </x:c>
      <x:c r="D14" s="78" t="n">
        <x:f>B14-C14</x:f>
        <x:v>4485105.094620212</x:v>
      </x:c>
      <x:c r="E14" s="78" t="n">
        <x:f>E13*(1+'Вводные'!B14)</x:f>
        <x:v>407223.6566943604</x:v>
      </x:c>
      <x:c r="F14" s="78" t="n">
        <x:f>D14-E14</x:f>
        <x:v>4077881.4379258514</x:v>
      </x:c>
      <x:c r="G14" s="78" t="n">
        <x:f>J13</x:f>
        <x:v>12991293.839264406</x:v>
      </x:c>
      <x:c r="H14" s="78" t="n">
        <x:f>G14*'Вводные'!B19</x:f>
        <x:v>1299129.3839264407</x:v>
      </x:c>
      <x:c r="I14" s="78" t="n">
        <x:f>IF(G14&lt;=0,0,MIN('Вводные'!B23,G14+H14))</x:f>
        <x:v>2114273.2459058235</x:v>
      </x:c>
      <x:c r="J14" s="78" t="n">
        <x:f>MAX(0,G14-MAX(0,I14-H14))</x:f>
        <x:v>12176149.977285024</x:v>
      </x:c>
      <x:c r="K14" s="79" t="n">
        <x:f>IF(I14=0,0,F14/I14)</x:f>
        <x:v>1.9287390813001344</x:v>
      </x:c>
    </x:row>
    <x:row r="15">
      <x:c r="A15" s="49" t="n">
        <x:v>12</x:v>
      </x:c>
      <x:c r="B15" s="78" t="n">
        <x:f>B14*(1+'Вводные'!B12)</x:f>
        <x:v>5051644.685519608</x:v>
      </x:c>
      <x:c r="C15" s="78" t="n">
        <x:f>B15*'Вводные'!B11</x:f>
        <x:v>252582.2342759804</x:v>
      </x:c>
      <x:c r="D15" s="78" t="n">
        <x:f>B15-C15</x:f>
        <x:v>4799062.451243628</x:v>
      </x:c>
      <x:c r="E15" s="78" t="n">
        <x:f>E14*(1+'Вводные'!B14)</x:f>
        <x:v>427584.83952907845</x:v>
      </x:c>
      <x:c r="F15" s="78" t="n">
        <x:f>D15-E15</x:f>
        <x:v>4371477.611714549</x:v>
      </x:c>
      <x:c r="G15" s="78" t="n">
        <x:f>J14</x:f>
        <x:v>12176149.977285024</x:v>
      </x:c>
      <x:c r="H15" s="78" t="n">
        <x:f>G15*'Вводные'!B19</x:f>
        <x:v>1217614.9977285024</x:v>
      </x:c>
      <x:c r="I15" s="78" t="n">
        <x:f>IF(G15&lt;=0,0,MIN('Вводные'!B23,G15+H15))</x:f>
        <x:v>2114273.2459058235</x:v>
      </x:c>
      <x:c r="J15" s="78" t="n">
        <x:f>MAX(0,G15-MAX(0,I15-H15))</x:f>
        <x:v>11279491.729107702</x:v>
      </x:c>
      <x:c r="K15" s="79" t="n">
        <x:f>IF(I15=0,0,F15/I15)</x:f>
        <x:v>2.0676029553794337</x:v>
      </x:c>
    </x:row>
    <x:row r="16">
      <x:c r="A16" s="49" t="n">
        <x:v>13</x:v>
      </x:c>
      <x:c r="B16" s="78" t="n">
        <x:f>B15*(1+'Вводные'!B12)</x:f>
        <x:v>5405259.81350598</x:v>
      </x:c>
      <x:c r="C16" s="78" t="n">
        <x:f>B16*'Вводные'!B11</x:f>
        <x:v>270262.990675299</x:v>
      </x:c>
      <x:c r="D16" s="78" t="n">
        <x:f>B16-C16</x:f>
        <x:v>5134996.822830681</x:v>
      </x:c>
      <x:c r="E16" s="78" t="n">
        <x:f>E15*(1+'Вводные'!B14)</x:f>
        <x:v>448964.0815055324</x:v>
      </x:c>
      <x:c r="F16" s="78" t="n">
        <x:f>D16-E16</x:f>
        <x:v>4686032.741325148</x:v>
      </x:c>
      <x:c r="G16" s="78" t="n">
        <x:f>J15</x:f>
        <x:v>11279491.729107702</x:v>
      </x:c>
      <x:c r="H16" s="78" t="n">
        <x:f>G16*'Вводные'!B19</x:f>
        <x:v>1127949.1729107702</x:v>
      </x:c>
      <x:c r="I16" s="78" t="n">
        <x:f>IF(G16&lt;=0,0,MIN('Вводные'!B23,G16+H16))</x:f>
        <x:v>2114273.2459058235</x:v>
      </x:c>
      <x:c r="J16" s="78" t="n">
        <x:f>MAX(0,G16-MAX(0,I16-H16))</x:f>
        <x:v>10293167.656112649</x:v>
      </x:c>
      <x:c r="K16" s="79" t="n">
        <x:f>IF(I16=0,0,F16/I16)</x:f>
        <x:v>2.216379907563698</x:v>
      </x:c>
    </x:row>
    <x:row r="17">
      <x:c r="A17" s="49" t="n">
        <x:v>14</x:v>
      </x:c>
      <x:c r="B17" s="78" t="n">
        <x:f>B16*(1+'Вводные'!B12)</x:f>
        <x:v>5783628.000451399</x:v>
      </x:c>
      <x:c r="C17" s="78" t="n">
        <x:f>B17*'Вводные'!B11</x:f>
        <x:v>289181.40002257</x:v>
      </x:c>
      <x:c r="D17" s="78" t="n">
        <x:f>B17-C17</x:f>
        <x:v>5494446.600428829</x:v>
      </x:c>
      <x:c r="E17" s="78" t="n">
        <x:f>E16*(1+'Вводные'!B14)</x:f>
        <x:v>471412.285580809</x:v>
      </x:c>
      <x:c r="F17" s="78" t="n">
        <x:f>D17-E17</x:f>
        <x:v>5023034.31484802</x:v>
      </x:c>
      <x:c r="G17" s="78" t="n">
        <x:f>J16</x:f>
        <x:v>10293167.656112649</x:v>
      </x:c>
      <x:c r="H17" s="78" t="n">
        <x:f>G17*'Вводные'!B19</x:f>
        <x:v>1029316.7656112649</x:v>
      </x:c>
      <x:c r="I17" s="78" t="n">
        <x:f>IF(G17&lt;=0,0,MIN('Вводные'!B23,G17+H17))</x:f>
        <x:v>2114273.2459058235</x:v>
      </x:c>
      <x:c r="J17" s="78" t="n">
        <x:f>MAX(0,G17-MAX(0,I17-H17))</x:f>
        <x:v>9208211.17581809</x:v>
      </x:c>
      <x:c r="K17" s="79" t="n">
        <x:f>IF(I17=0,0,F17/I17)</x:f>
        <x:v>2.375773483666246</x:v>
      </x:c>
    </x:row>
    <x:row r="18">
      <x:c r="A18" s="49" t="n">
        <x:v>15</x:v>
      </x:c>
      <x:c r="B18" s="78" t="n">
        <x:f>B17*(1+'Вводные'!B12)</x:f>
        <x:v>6188481.960482997</x:v>
      </x:c>
      <x:c r="C18" s="78" t="n">
        <x:f>B18*'Вводные'!B11</x:f>
        <x:v>309424.09802414983</x:v>
      </x:c>
      <x:c r="D18" s="78" t="n">
        <x:f>B18-C18</x:f>
        <x:v>5879057.862458847</x:v>
      </x:c>
      <x:c r="E18" s="78" t="n">
        <x:f>E17*(1+'Вводные'!B14)</x:f>
        <x:v>494982.8998598495</x:v>
      </x:c>
      <x:c r="F18" s="78" t="n">
        <x:f>D18-E18</x:f>
        <x:v>5384074.962598998</x:v>
      </x:c>
      <x:c r="G18" s="78" t="n">
        <x:f>J17</x:f>
        <x:v>9208211.17581809</x:v>
      </x:c>
      <x:c r="H18" s="78" t="n">
        <x:f>G18*'Вводные'!B19</x:f>
        <x:v>920821.1175818089</x:v>
      </x:c>
      <x:c r="I18" s="78" t="n">
        <x:f>IF(G18&lt;=0,0,MIN('Вводные'!B23,G18+H18))</x:f>
        <x:v>2114273.2459058235</x:v>
      </x:c>
      <x:c r="J18" s="78" t="n">
        <x:f>MAX(0,G18-MAX(0,I18-H18))</x:f>
        <x:v>8014759.047494074</x:v>
      </x:c>
      <x:c r="K18" s="79" t="n">
        <x:f>IF(I18=0,0,F18/I18)</x:f>
        <x:v>2.546536959224627</x:v>
      </x:c>
    </x:row>
    <x:row r="19">
      <x:c r="A19" s="49" t="n">
        <x:v>16</x:v>
      </x:c>
      <x:c r="B19" s="78" t="n">
        <x:f>B18*(1+'Вводные'!B12)</x:f>
        <x:v>6621675.697716807</x:v>
      </x:c>
      <x:c r="C19" s="78" t="n">
        <x:f>B19*'Вводные'!B11</x:f>
        <x:v>331083.7848858404</x:v>
      </x:c>
      <x:c r="D19" s="78" t="n">
        <x:f>B19-C19</x:f>
        <x:v>6290591.9128309665</x:v>
      </x:c>
      <x:c r="E19" s="78" t="n">
        <x:f>E18*(1+'Вводные'!B14)</x:f>
        <x:v>519732.044852842</x:v>
      </x:c>
      <x:c r="F19" s="78" t="n">
        <x:f>D19-E19</x:f>
        <x:v>5770859.867978125</x:v>
      </x:c>
      <x:c r="G19" s="78" t="n">
        <x:f>J18</x:f>
        <x:v>8014759.047494074</x:v>
      </x:c>
      <x:c r="H19" s="78" t="n">
        <x:f>G19*'Вводные'!B19</x:f>
        <x:v>801475.9047494074</x:v>
      </x:c>
      <x:c r="I19" s="78" t="n">
        <x:f>IF(G19&lt;=0,0,MIN('Вводные'!B23,G19+H19))</x:f>
        <x:v>2114273.2459058235</x:v>
      </x:c>
      <x:c r="J19" s="78" t="n">
        <x:f>MAX(0,G19-MAX(0,I19-H19))</x:f>
        <x:v>6701961.706337659</x:v>
      </x:c>
      <x:c r="K19" s="79" t="n">
        <x:f>IF(I19=0,0,F19/I19)</x:f>
        <x:v>2.7294768446571815</x:v>
      </x:c>
    </x:row>
    <x:row r="20">
      <x:c r="A20" s="49" t="n">
        <x:v>17</x:v>
      </x:c>
      <x:c r="B20" s="78" t="n">
        <x:f>B19*(1+'Вводные'!B12)</x:f>
        <x:v>7085192.996556984</x:v>
      </x:c>
      <x:c r="C20" s="78" t="n">
        <x:f>B20*'Вводные'!B11</x:f>
        <x:v>354259.64982784924</x:v>
      </x:c>
      <x:c r="D20" s="78" t="n">
        <x:f>B20-C20</x:f>
        <x:v>6730933.346729135</x:v>
      </x:c>
      <x:c r="E20" s="78" t="n">
        <x:f>E19*(1+'Вводные'!B14)</x:f>
        <x:v>545718.6470954841</x:v>
      </x:c>
      <x:c r="F20" s="78" t="n">
        <x:f>D20-E20</x:f>
        <x:v>6185214.699633651</x:v>
      </x:c>
      <x:c r="G20" s="78" t="n">
        <x:f>J19</x:f>
        <x:v>6701961.706337659</x:v>
      </x:c>
      <x:c r="H20" s="78" t="n">
        <x:f>G20*'Вводные'!B19</x:f>
        <x:v>670196.1706337659</x:v>
      </x:c>
      <x:c r="I20" s="78" t="n">
        <x:f>IF(G20&lt;=0,0,MIN('Вводные'!B23,G20+H20))</x:f>
        <x:v>2114273.2459058235</x:v>
      </x:c>
      <x:c r="J20" s="78" t="n">
        <x:f>MAX(0,G20-MAX(0,I20-H20))</x:f>
        <x:v>5257884.6310656015</x:v>
      </x:c>
      <x:c r="K20" s="79" t="n">
        <x:f>IF(I20=0,0,F20/I20)</x:f>
        <x:v>2.9254566369843573</x:v>
      </x:c>
    </x:row>
    <x:row r="21">
      <x:c r="A21" s="49" t="n">
        <x:v>18</x:v>
      </x:c>
      <x:c r="B21" s="78" t="n">
        <x:f>B20*(1+'Вводные'!B12)</x:f>
        <x:v>7581156.506315974</x:v>
      </x:c>
      <x:c r="C21" s="78" t="n">
        <x:f>B21*'Вводные'!B11</x:f>
        <x:v>379057.8253157987</x:v>
      </x:c>
      <x:c r="D21" s="78" t="n">
        <x:f>B21-C21</x:f>
        <x:v>7202098.681000175</x:v>
      </x:c>
      <x:c r="E21" s="78" t="n">
        <x:f>E20*(1+'Вводные'!B14)</x:f>
        <x:v>573004.5794502583</x:v>
      </x:c>
      <x:c r="F21" s="78" t="n">
        <x:f>D21-E21</x:f>
        <x:v>6629094.101549917</x:v>
      </x:c>
      <x:c r="G21" s="78" t="n">
        <x:f>J20</x:f>
        <x:v>5257884.6310656015</x:v>
      </x:c>
      <x:c r="H21" s="78" t="n">
        <x:f>G21*'Вводные'!B19</x:f>
        <x:v>525788.4631065602</x:v>
      </x:c>
      <x:c r="I21" s="78" t="n">
        <x:f>IF(G21&lt;=0,0,MIN('Вводные'!B23,G21+H21))</x:f>
        <x:v>2114273.2459058235</x:v>
      </x:c>
      <x:c r="J21" s="78" t="n">
        <x:f>MAX(0,G21-MAX(0,I21-H21))</x:f>
        <x:v>3669399.848266338</x:v>
      </x:c>
      <x:c r="K21" s="79" t="n">
        <x:f>IF(I21=0,0,F21/I21)</x:f>
        <x:v>3.1354008354344933</x:v>
      </x:c>
    </x:row>
    <x:row r="22">
      <x:c r="A22" s="49" t="n">
        <x:v>19</x:v>
      </x:c>
      <x:c r="B22" s="78" t="n">
        <x:f>B21*(1+'Вводные'!B12)</x:f>
        <x:v>8111837.461758092</x:v>
      </x:c>
      <x:c r="C22" s="78" t="n">
        <x:f>B22*'Вводные'!B11</x:f>
        <x:v>405591.87308790465</x:v>
      </x:c>
      <x:c r="D22" s="78" t="n">
        <x:f>B22-C22</x:f>
        <x:v>7706245.588670188</x:v>
      </x:c>
      <x:c r="E22" s="78" t="n">
        <x:f>E21*(1+'Вводные'!B14)</x:f>
        <x:v>601654.8084227713</x:v>
      </x:c>
      <x:c r="F22" s="78" t="n">
        <x:f>D22-E22</x:f>
        <x:v>7104590.780247416</x:v>
      </x:c>
      <x:c r="G22" s="78" t="n">
        <x:f>J21</x:f>
        <x:v>3669399.848266338</x:v>
      </x:c>
      <x:c r="H22" s="78" t="n">
        <x:f>G22*'Вводные'!B19</x:f>
        <x:v>366939.9848266338</x:v>
      </x:c>
      <x:c r="I22" s="78" t="n">
        <x:f>IF(G22&lt;=0,0,MIN('Вводные'!B23,G22+H22))</x:f>
        <x:v>2114273.2459058235</x:v>
      </x:c>
      <x:c r="J22" s="78" t="n">
        <x:f>MAX(0,G22-MAX(0,I22-H22))</x:f>
        <x:v>1922066.5871871482</x:v>
      </x:c>
      <x:c r="K22" s="79" t="n">
        <x:f>IF(I22=0,0,F22/I22)</x:f>
        <x:v>3.3602992394692004</x:v>
      </x:c>
    </x:row>
    <x:row r="23">
      <x:c r="A23" s="49" t="n">
        <x:v>20</x:v>
      </x:c>
      <x:c r="B23" s="78" t="n">
        <x:f>B22*(1+'Вводные'!B12)</x:f>
        <x:v>8679666.08408116</x:v>
      </x:c>
      <x:c r="C23" s="78" t="n">
        <x:f>B23*'Вводные'!B11</x:f>
        <x:v>433983.304204058</x:v>
      </x:c>
      <x:c r="D23" s="78" t="n">
        <x:f>B23-C23</x:f>
        <x:v>8245682.779877102</x:v>
      </x:c>
      <x:c r="E23" s="78" t="n">
        <x:f>E22*(1+'Вводные'!B14)</x:f>
        <x:v>631737.5488439099</x:v>
      </x:c>
      <x:c r="F23" s="78" t="n">
        <x:f>D23-E23</x:f>
        <x:v>7613945.231033192</x:v>
      </x:c>
      <x:c r="G23" s="78" t="n">
        <x:f>J22</x:f>
        <x:v>1922066.5871871482</x:v>
      </x:c>
      <x:c r="H23" s="78" t="n">
        <x:f>G23*'Вводные'!B19</x:f>
        <x:v>192206.65871871484</x:v>
      </x:c>
      <x:c r="I23" s="78" t="n">
        <x:f>IF(G23&lt;=0,0,MIN('Вводные'!B23,G23+H23))</x:f>
        <x:v>2114273.2459058235</x:v>
      </x:c>
      <x:c r="J23" s="78" t="n">
        <x:f>MAX(0,G23-MAX(0,I23-H23))</x:f>
        <x:v>3.958120942115784e-8</x:v>
      </x:c>
      <x:c r="K23" s="79" t="n">
        <x:f>IF(I23=0,0,F23/I23)</x:f>
        <x:v>3.601211549064052</x:v>
      </x:c>
    </x:row>
  </x:sheetData>
  <x:mergeCells>
    <x:mergeCell ref="A1:K1"/>
  </x:mergeCells>
  <x:conditionalFormatting sqref="K4:K23">
    <x:cfRule type="cellIs" dxfId="0" priority="1" operator="lessThan">
      <x:formula>1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1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1" hidden="0" customWidth="1"/>
    <x:col min="9" max="9" width="22" hidden="0" customWidth="1"/>
  </x:cols>
  <x:sheetData>
    <x:row r="1">
      <x:c r="A1" s="4" t="str">
        <x:v>Планы A / B / C</x:v>
      </x:c>
      <x:c r="B1" s="4"/>
      <x:c r="C1" s="4"/>
      <x:c r="D1" s="4"/>
      <x:c r="E1" s="4"/>
      <x:c r="F1" s="4"/>
      <x:c r="G1" s="4"/>
      <x:c r="H1" s="4"/>
      <x:c r="I1" s="4"/>
    </x:row>
    <x:row r="3">
      <x:c r="A3" s="70" t="str">
        <x:v>Сценарий</x:v>
      </x:c>
      <x:c r="B3" s="70" t="str">
        <x:v>Аренда к базе</x:v>
      </x:c>
      <x:c r="C3" s="70" t="str">
        <x:v>Вакансия</x:v>
      </x:c>
      <x:c r="D3" s="70" t="str">
        <x:v>Аренда, руб./мес.</x:v>
      </x:c>
      <x:c r="E3" s="70" t="str">
        <x:v>Эфф. доход, руб./год</x:v>
      </x:c>
      <x:c r="F3" s="70" t="str">
        <x:v>Расходы, руб./год</x:v>
      </x:c>
      <x:c r="G3" s="70" t="str">
        <x:v>NOI, руб./год</x:v>
      </x:c>
      <x:c r="H3" s="70" t="str">
        <x:v>DSCR, x</x:v>
      </x:c>
      <x:c r="I3" s="70" t="str">
        <x:v>Cash flow после банка, руб.</x:v>
      </x:c>
    </x:row>
    <x:row r="4">
      <x:c r="A4" t="str">
        <x:v>План A — сильный</x:v>
      </x:c>
      <x:c r="B4" s="32" t="n">
        <x:v>1</x:v>
      </x:c>
      <x:c r="C4" s="32" t="n">
        <x:v>0.03</x:v>
      </x:c>
      <x:c r="D4" s="74" t="n">
        <x:f>'Вводные'!B10*B4</x:f>
        <x:v>200000</x:v>
      </x:c>
      <x:c r="E4" s="74" t="n">
        <x:f>D4*12*(1-C4)</x:f>
        <x:v>2328000</x:v>
      </x:c>
      <x:c r="F4" s="74" t="n">
        <x:f>'Вводные'!B13</x:f>
        <x:v>250000</x:v>
      </x:c>
      <x:c r="G4" s="74" t="n">
        <x:f>E4-F4</x:f>
        <x:v>2078000</x:v>
      </x:c>
      <x:c r="H4" s="75" t="n">
        <x:f>IF('Вводные'!B23=0,0,G4/'Вводные'!B23)</x:f>
        <x:v>0.9828436338699056</x:v>
      </x:c>
      <x:c r="I4" s="74" t="n">
        <x:f>G4-'Вводные'!B23</x:f>
        <x:v>-36273.24590582354</x:v>
      </x:c>
    </x:row>
    <x:row r="5">
      <x:c r="A5" t="str">
        <x:v>План B — рынок</x:v>
      </x:c>
      <x:c r="B5" s="32" t="n">
        <x:v>0.9</x:v>
      </x:c>
      <x:c r="C5" s="32" t="n">
        <x:v>0.08</x:v>
      </x:c>
      <x:c r="D5" s="74" t="n">
        <x:f>'Вводные'!B10*B5</x:f>
        <x:v>180000</x:v>
      </x:c>
      <x:c r="E5" s="74" t="n">
        <x:f>D5*12*(1-C5)</x:f>
        <x:v>1987200</x:v>
      </x:c>
      <x:c r="F5" s="74" t="n">
        <x:f>'Вводные'!B13</x:f>
        <x:v>250000</x:v>
      </x:c>
      <x:c r="G5" s="74" t="n">
        <x:f>E5-F5</x:f>
        <x:v>1737200</x:v>
      </x:c>
      <x:c r="H5" s="75" t="n">
        <x:f>IF('Вводные'!B23=0,0,G5/'Вводные'!B23)</x:f>
        <x:v>0.8216534941091433</x:v>
      </x:c>
      <x:c r="I5" s="74" t="n">
        <x:f>G5-'Вводные'!B23</x:f>
        <x:v>-377073.24590582354</x:v>
      </x:c>
    </x:row>
    <x:row r="6">
      <x:c r="A6" t="str">
        <x:v>План C — стресс</x:v>
      </x:c>
      <x:c r="B6" s="32" t="n">
        <x:v>0.65</x:v>
      </x:c>
      <x:c r="C6" s="32" t="n">
        <x:v>0.2</x:v>
      </x:c>
      <x:c r="D6" s="74" t="n">
        <x:f>'Вводные'!B10*B6</x:f>
        <x:v>130000</x:v>
      </x:c>
      <x:c r="E6" s="74" t="n">
        <x:f>D6*12*(1-C6)</x:f>
        <x:v>1248000</x:v>
      </x:c>
      <x:c r="F6" s="74" t="n">
        <x:f>'Вводные'!B13</x:f>
        <x:v>250000</x:v>
      </x:c>
      <x:c r="G6" s="74" t="n">
        <x:f>E6-F6</x:f>
        <x:v>998000</x:v>
      </x:c>
      <x:c r="H6" s="75" t="n">
        <x:f>IF('Вводные'!B23=0,0,G6/'Вводные'!B23)</x:f>
        <x:v>0.4720298106843916</x:v>
      </x:c>
      <x:c r="I6" s="74" t="n">
        <x:f>G6-'Вводные'!B23</x:f>
        <x:v>-1116273.2459058235</x:v>
      </x:c>
    </x:row>
  </x:sheetData>
  <x:mergeCells>
    <x:mergeCell ref="A1:I1"/>
  </x:mergeCells>
  <x:conditionalFormatting sqref="H4:H6">
    <x:cfRule type="cellIs" dxfId="1" priority="1" operator="lessThan">
      <x:formula>1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8" hidden="0" customWidth="1"/>
    <x:col min="3" max="3" width="18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>
      <x:c r="A1" s="4" t="str">
        <x:v>Стоимость выхода и собственный капитал</x:v>
      </x:c>
      <x:c r="B1" s="4"/>
      <x:c r="C1" s="4"/>
      <x:c r="D1" s="4"/>
      <x:c r="E1" s="4"/>
      <x:c r="F1" s="4"/>
      <x:c r="G1" s="4"/>
    </x:row>
    <x:row r="3">
      <x:c r="A3" s="70" t="str">
        <x:v>Год</x:v>
      </x:c>
      <x:c r="B3" s="70" t="str">
        <x:v>NOI, руб.</x:v>
      </x:c>
      <x:c r="C3" s="70" t="str">
        <x:v>Ставка капитализации</x:v>
      </x:c>
      <x:c r="D3" s="70" t="str">
        <x:v>Оценка объекта, руб.</x:v>
      </x:c>
      <x:c r="E3" s="70" t="str">
        <x:v>Долг, руб.</x:v>
      </x:c>
      <x:c r="F3" s="70" t="str">
        <x:v>Расходы на продажу, руб.</x:v>
      </x:c>
      <x:c r="G3" s="70" t="str">
        <x:v>Чистый капитал при выходе, руб.</x:v>
      </x:c>
    </x:row>
    <x:row r="4">
      <x:c r="A4" t="n">
        <x:v>1</x:v>
      </x:c>
      <x:c r="B4" s="74" t="n">
        <x:f>'Денежный поток'!F4</x:f>
        <x:v>2030000</x:v>
      </x:c>
      <x:c r="C4" s="88" t="n">
        <x:f>'Вводные'!B27</x:f>
        <x:v>0.1</x:v>
      </x:c>
      <x:c r="D4" s="74" t="n">
        <x:f>IF(C4=0,0,B4/C4)</x:f>
        <x:v>20300000</x:v>
      </x:c>
      <x:c r="E4" s="74" t="n">
        <x:f>'Денежный поток'!J4</x:f>
        <x:v>17685726.754094176</x:v>
      </x:c>
      <x:c r="F4" s="74" t="n">
        <x:f>D4*'Вводные'!B28</x:f>
        <x:v>406000</x:v>
      </x:c>
      <x:c r="G4" s="74" t="n">
        <x:f>D4-E4-F4</x:f>
        <x:v>2208273.245905824</x:v>
      </x:c>
    </x:row>
    <x:row r="5">
      <x:c r="A5" t="n">
        <x:v>2</x:v>
      </x:c>
      <x:c r="B5" s="74" t="n">
        <x:f>'Денежный поток'!F5</x:f>
        <x:v>2177100</x:v>
      </x:c>
      <x:c r="C5" s="88" t="n">
        <x:f>'Вводные'!B27</x:f>
        <x:v>0.1</x:v>
      </x:c>
      <x:c r="D5" s="74" t="n">
        <x:f>IF(C5=0,0,B5/C5)</x:f>
        <x:v>21771000</x:v>
      </x:c>
      <x:c r="E5" s="74" t="n">
        <x:f>'Денежный поток'!J5</x:f>
        <x:v>17340026.18359777</x:v>
      </x:c>
      <x:c r="F5" s="74" t="n">
        <x:f>D5*'Вводные'!B28</x:f>
        <x:v>435420</x:v>
      </x:c>
      <x:c r="G5" s="74" t="n">
        <x:f>D5-E5-F5</x:f>
        <x:v>3995553.8164022304</x:v>
      </x:c>
    </x:row>
    <x:row r="6">
      <x:c r="A6" t="n">
        <x:v>3</x:v>
      </x:c>
      <x:c r="B6" s="74" t="n">
        <x:f>'Денежный поток'!F6</x:f>
        <x:v>2334747</x:v>
      </x:c>
      <x:c r="C6" s="88" t="n">
        <x:f>'Вводные'!B27</x:f>
        <x:v>0.1</x:v>
      </x:c>
      <x:c r="D6" s="74" t="n">
        <x:f>IF(C6=0,0,B6/C6)</x:f>
        <x:v>23347470</x:v>
      </x:c>
      <x:c r="E6" s="74" t="n">
        <x:f>'Денежный поток'!J6</x:f>
        <x:v>16959755.556051724</x:v>
      </x:c>
      <x:c r="F6" s="74" t="n">
        <x:f>D6*'Вводные'!B28</x:f>
        <x:v>466949.4</x:v>
      </x:c>
      <x:c r="G6" s="74" t="n">
        <x:f>D6-E6-F6</x:f>
        <x:v>5920765.043948276</x:v>
      </x:c>
    </x:row>
    <x:row r="7">
      <x:c r="A7" t="n">
        <x:v>4</x:v>
      </x:c>
      <x:c r="B7" s="74" t="n">
        <x:f>'Денежный поток'!F7</x:f>
        <x:v>2503691.79</x:v>
      </x:c>
      <x:c r="C7" s="88" t="n">
        <x:f>'Вводные'!B27</x:f>
        <x:v>0.1</x:v>
      </x:c>
      <x:c r="D7" s="74" t="n">
        <x:f>IF(C7=0,0,B7/C7)</x:f>
        <x:v>25036917.9</x:v>
      </x:c>
      <x:c r="E7" s="74" t="n">
        <x:f>'Денежный поток'!J7</x:f>
        <x:v>16541457.865751073</x:v>
      </x:c>
      <x:c r="F7" s="74" t="n">
        <x:f>D7*'Вводные'!B28</x:f>
        <x:v>500738.358</x:v>
      </x:c>
      <x:c r="G7" s="74" t="n">
        <x:f>D7-E7-F7</x:f>
        <x:v>7994721.676248926</x:v>
      </x:c>
    </x:row>
    <x:row r="8">
      <x:c r="A8" t="n">
        <x:v>5</x:v>
      </x:c>
      <x:c r="B8" s="74" t="n">
        <x:f>'Денежный поток'!F8</x:f>
        <x:v>2684738.3403000007</x:v>
      </x:c>
      <x:c r="C8" s="88" t="n">
        <x:f>'Вводные'!B27</x:f>
        <x:v>0.1</x:v>
      </x:c>
      <x:c r="D8" s="74" t="n">
        <x:f>IF(C8=0,0,B8/C8)</x:f>
        <x:v>26847383.403000005</x:v>
      </x:c>
      <x:c r="E8" s="74" t="n">
        <x:f>'Денежный поток'!J8</x:f>
        <x:v>16081330.406420358</x:v>
      </x:c>
      <x:c r="F8" s="74" t="n">
        <x:f>D8*'Вводные'!B28</x:f>
        <x:v>536947.66806</x:v>
      </x:c>
      <x:c r="G8" s="74" t="n">
        <x:f>D8-E8-F8</x:f>
        <x:v>10229105.328519646</x:v>
      </x:c>
    </x:row>
    <x:row r="9">
      <x:c r="A9" t="n">
        <x:v>6</x:v>
      </x:c>
      <x:c r="B9" s="74" t="n">
        <x:f>'Денежный поток'!F9</x:f>
        <x:v>2878747.555371001</x:v>
      </x:c>
      <x:c r="C9" s="88" t="n">
        <x:f>'Вводные'!B27</x:f>
        <x:v>0.1</x:v>
      </x:c>
      <x:c r="D9" s="74" t="n">
        <x:f>IF(C9=0,0,B9/C9)</x:f>
        <x:v>28787475.553710006</x:v>
      </x:c>
      <x:c r="E9" s="74" t="n">
        <x:f>'Денежный поток'!J9</x:f>
        <x:v>15575190.20115657</x:v>
      </x:c>
      <x:c r="F9" s="74" t="n">
        <x:f>D9*'Вводные'!B28</x:f>
        <x:v>575749.5110742002</x:v>
      </x:c>
      <x:c r="G9" s="74" t="n">
        <x:f>D9-E9-F9</x:f>
        <x:v>12636535.841479236</x:v>
      </x:c>
    </x:row>
    <x:row r="10">
      <x:c r="A10" t="n">
        <x:v>7</x:v>
      </x:c>
      <x:c r="B10" s="74" t="n">
        <x:f>'Денежный поток'!F10</x:f>
        <x:v>3086641.292059471</x:v>
      </x:c>
      <x:c r="C10" s="88" t="n">
        <x:f>'Вводные'!B27</x:f>
        <x:v>0.1</x:v>
      </x:c>
      <x:c r="D10" s="74" t="n">
        <x:f>IF(C10=0,0,B10/C10)</x:f>
        <x:v>30866412.920594707</x:v>
      </x:c>
      <x:c r="E10" s="74" t="n">
        <x:f>'Денежный поток'!J10</x:f>
        <x:v>15018435.975366402</x:v>
      </x:c>
      <x:c r="F10" s="74" t="n">
        <x:f>D10*'Вводные'!B28</x:f>
        <x:v>617328.2584118942</x:v>
      </x:c>
      <x:c r="G10" s="74" t="n">
        <x:f>D10-E10-F10</x:f>
        <x:v>15230648.686816411</x:v>
      </x:c>
    </x:row>
    <x:row r="11">
      <x:c r="A11" t="n">
        <x:v>8</x:v>
      </x:c>
      <x:c r="B11" s="74" t="n">
        <x:f>'Денежный поток'!F11</x:f>
        <x:v>3309406.6607067594</x:v>
      </x:c>
      <x:c r="C11" s="88" t="n">
        <x:f>'Вводные'!B27</x:f>
        <x:v>0.1</x:v>
      </x:c>
      <x:c r="D11" s="74" t="n">
        <x:f>IF(C11=0,0,B11/C11)</x:f>
        <x:v>33094066.607067592</x:v>
      </x:c>
      <x:c r="E11" s="74" t="n">
        <x:f>'Денежный поток'!J11</x:f>
        <x:v>14406006.326997219</x:v>
      </x:c>
      <x:c r="F11" s="74" t="n">
        <x:f>D11*'Вводные'!B28</x:f>
        <x:v>661881.3321413519</x:v>
      </x:c>
      <x:c r="G11" s="74" t="n">
        <x:f>D11-E11-F11</x:f>
        <x:v>18026178.94792902</x:v>
      </x:c>
    </x:row>
    <x:row r="12">
      <x:c r="A12" t="n">
        <x:v>9</x:v>
      </x:c>
      <x:c r="B12" s="74" t="n">
        <x:f>'Денежный поток'!F12</x:f>
        <x:v>3548100.629069514</x:v>
      </x:c>
      <x:c r="C12" s="88" t="n">
        <x:f>'Вводные'!B27</x:f>
        <x:v>0.1</x:v>
      </x:c>
      <x:c r="D12" s="74" t="n">
        <x:f>IF(C12=0,0,B12/C12)</x:f>
        <x:v>35481006.29069514</x:v>
      </x:c>
      <x:c r="E12" s="74" t="n">
        <x:f>'Денежный поток'!J12</x:f>
        <x:v>13732333.713791117</x:v>
      </x:c>
      <x:c r="F12" s="74" t="n">
        <x:f>D12*'Вводные'!B28</x:f>
        <x:v>709620.1258139028</x:v>
      </x:c>
      <x:c r="G12" s="74" t="n">
        <x:f>D12-E12-F12</x:f>
        <x:v>21039052.45109012</x:v>
      </x:c>
    </x:row>
    <x:row r="13">
      <x:c r="A13" t="n">
        <x:v>10</x:v>
      </x:c>
      <x:c r="B13" s="74" t="n">
        <x:f>'Денежный поток'!F13</x:f>
        <x:v>3803854.9503233256</x:v>
      </x:c>
      <x:c r="C13" s="88" t="n">
        <x:f>'Вводные'!B27</x:f>
        <x:v>0.1</x:v>
      </x:c>
      <x:c r="D13" s="74" t="n">
        <x:f>IF(C13=0,0,B13/C13)</x:f>
        <x:v>38038549.503233254</x:v>
      </x:c>
      <x:c r="E13" s="74" t="n">
        <x:f>'Денежный поток'!J13</x:f>
        <x:v>12991293.839264406</x:v>
      </x:c>
      <x:c r="F13" s="74" t="n">
        <x:f>D13*'Вводные'!B28</x:f>
        <x:v>760770.9900646651</x:v>
      </x:c>
      <x:c r="G13" s="74" t="n">
        <x:f>D13-E13-F13</x:f>
        <x:v>24286484.67390418</x:v>
      </x:c>
    </x:row>
    <x:row r="14">
      <x:c r="A14" t="n">
        <x:v>11</x:v>
      </x:c>
      <x:c r="B14" s="74" t="n">
        <x:f>'Денежный поток'!F14</x:f>
        <x:v>4077881.4379258514</x:v>
      </x:c>
      <x:c r="C14" s="88" t="n">
        <x:f>'Вводные'!B27</x:f>
        <x:v>0.1</x:v>
      </x:c>
      <x:c r="D14" s="74" t="n">
        <x:f>IF(C14=0,0,B14/C14)</x:f>
        <x:v>40778814.37925851</x:v>
      </x:c>
      <x:c r="E14" s="74" t="n">
        <x:f>'Денежный поток'!J14</x:f>
        <x:v>12176149.977285024</x:v>
      </x:c>
      <x:c r="F14" s="74" t="n">
        <x:f>D14*'Вводные'!B28</x:f>
        <x:v>815576.2875851702</x:v>
      </x:c>
      <x:c r="G14" s="74" t="n">
        <x:f>D14-E14-F14</x:f>
        <x:v>27787088.11438832</x:v>
      </x:c>
    </x:row>
    <x:row r="15">
      <x:c r="A15" t="n">
        <x:v>12</x:v>
      </x:c>
      <x:c r="B15" s="74" t="n">
        <x:f>'Денежный поток'!F15</x:f>
        <x:v>4371477.611714549</x:v>
      </x:c>
      <x:c r="C15" s="88" t="n">
        <x:f>'Вводные'!B27</x:f>
        <x:v>0.1</x:v>
      </x:c>
      <x:c r="D15" s="74" t="n">
        <x:f>IF(C15=0,0,B15/C15)</x:f>
        <x:v>43714776.11714549</x:v>
      </x:c>
      <x:c r="E15" s="74" t="n">
        <x:f>'Денежный поток'!J15</x:f>
        <x:v>11279491.729107702</x:v>
      </x:c>
      <x:c r="F15" s="74" t="n">
        <x:f>D15*'Вводные'!B28</x:f>
        <x:v>874295.52234291</x:v>
      </x:c>
      <x:c r="G15" s="74" t="n">
        <x:f>D15-E15-F15</x:f>
        <x:v>31560988.865694884</x:v>
      </x:c>
    </x:row>
    <x:row r="16">
      <x:c r="A16" t="n">
        <x:v>13</x:v>
      </x:c>
      <x:c r="B16" s="74" t="n">
        <x:f>'Денежный поток'!F16</x:f>
        <x:v>4686032.741325148</x:v>
      </x:c>
      <x:c r="C16" s="88" t="n">
        <x:f>'Вводные'!B27</x:f>
        <x:v>0.1</x:v>
      </x:c>
      <x:c r="D16" s="74" t="n">
        <x:f>IF(C16=0,0,B16/C16)</x:f>
        <x:v>46860327.41325148</x:v>
      </x:c>
      <x:c r="E16" s="74" t="n">
        <x:f>'Денежный поток'!J16</x:f>
        <x:v>10293167.656112649</x:v>
      </x:c>
      <x:c r="F16" s="74" t="n">
        <x:f>D16*'Вводные'!B28</x:f>
        <x:v>937206.5482650297</x:v>
      </x:c>
      <x:c r="G16" s="74" t="n">
        <x:f>D16-E16-F16</x:f>
        <x:v>35629953.2088738</x:v>
      </x:c>
    </x:row>
    <x:row r="17">
      <x:c r="A17" t="n">
        <x:v>14</x:v>
      </x:c>
      <x:c r="B17" s="74" t="n">
        <x:f>'Денежный поток'!F17</x:f>
        <x:v>5023034.31484802</x:v>
      </x:c>
      <x:c r="C17" s="88" t="n">
        <x:f>'Вводные'!B27</x:f>
        <x:v>0.1</x:v>
      </x:c>
      <x:c r="D17" s="74" t="n">
        <x:f>IF(C17=0,0,B17/C17)</x:f>
        <x:v>50230343.14848019</x:v>
      </x:c>
      <x:c r="E17" s="74" t="n">
        <x:f>'Денежный поток'!J17</x:f>
        <x:v>9208211.17581809</x:v>
      </x:c>
      <x:c r="F17" s="74" t="n">
        <x:f>D17*'Вводные'!B28</x:f>
        <x:v>1004606.8629696039</x:v>
      </x:c>
      <x:c r="G17" s="74" t="n">
        <x:f>D17-E17-F17</x:f>
        <x:v>40017525.1096925</x:v>
      </x:c>
    </x:row>
    <x:row r="18">
      <x:c r="A18" t="n">
        <x:v>15</x:v>
      </x:c>
      <x:c r="B18" s="74" t="n">
        <x:f>'Денежный поток'!F18</x:f>
        <x:v>5384074.962598998</x:v>
      </x:c>
      <x:c r="C18" s="88" t="n">
        <x:f>'Вводные'!B27</x:f>
        <x:v>0.1</x:v>
      </x:c>
      <x:c r="D18" s="74" t="n">
        <x:f>IF(C18=0,0,B18/C18)</x:f>
        <x:v>53840749.62598998</x:v>
      </x:c>
      <x:c r="E18" s="74" t="n">
        <x:f>'Денежный поток'!J18</x:f>
        <x:v>8014759.047494074</x:v>
      </x:c>
      <x:c r="F18" s="74" t="n">
        <x:f>D18*'Вводные'!B28</x:f>
        <x:v>1076814.9925197996</x:v>
      </x:c>
      <x:c r="G18" s="74" t="n">
        <x:f>D18-E18-F18</x:f>
        <x:v>44749175.58597611</x:v>
      </x:c>
    </x:row>
    <x:row r="19">
      <x:c r="A19" t="n">
        <x:v>16</x:v>
      </x:c>
      <x:c r="B19" s="74" t="n">
        <x:f>'Денежный поток'!F19</x:f>
        <x:v>5770859.867978125</x:v>
      </x:c>
      <x:c r="C19" s="88" t="n">
        <x:f>'Вводные'!B27</x:f>
        <x:v>0.1</x:v>
      </x:c>
      <x:c r="D19" s="74" t="n">
        <x:f>IF(C19=0,0,B19/C19)</x:f>
        <x:v>57708598.67978124</x:v>
      </x:c>
      <x:c r="E19" s="74" t="n">
        <x:f>'Денежный поток'!J19</x:f>
        <x:v>6701961.706337659</x:v>
      </x:c>
      <x:c r="F19" s="74" t="n">
        <x:f>D19*'Вводные'!B28</x:f>
        <x:v>1154171.9735956248</x:v>
      </x:c>
      <x:c r="G19" s="74" t="n">
        <x:f>D19-E19-F19</x:f>
        <x:v>49852464.999847956</x:v>
      </x:c>
    </x:row>
    <x:row r="20">
      <x:c r="A20" t="n">
        <x:v>17</x:v>
      </x:c>
      <x:c r="B20" s="74" t="n">
        <x:f>'Денежный поток'!F20</x:f>
        <x:v>6185214.699633651</x:v>
      </x:c>
      <x:c r="C20" s="88" t="n">
        <x:f>'Вводные'!B27</x:f>
        <x:v>0.1</x:v>
      </x:c>
      <x:c r="D20" s="74" t="n">
        <x:f>IF(C20=0,0,B20/C20)</x:f>
        <x:v>61852146.99633651</x:v>
      </x:c>
      <x:c r="E20" s="74" t="n">
        <x:f>'Денежный поток'!J20</x:f>
        <x:v>5257884.6310656015</x:v>
      </x:c>
      <x:c r="F20" s="74" t="n">
        <x:f>D20*'Вводные'!B28</x:f>
        <x:v>1237042.9399267302</x:v>
      </x:c>
      <x:c r="G20" s="74" t="n">
        <x:f>D20-E20-F20</x:f>
        <x:v>55357219.425344184</x:v>
      </x:c>
    </x:row>
    <x:row r="21">
      <x:c r="A21" t="n">
        <x:v>18</x:v>
      </x:c>
      <x:c r="B21" s="74" t="n">
        <x:f>'Денежный поток'!F21</x:f>
        <x:v>6629094.101549917</x:v>
      </x:c>
      <x:c r="C21" s="88" t="n">
        <x:f>'Вводные'!B27</x:f>
        <x:v>0.1</x:v>
      </x:c>
      <x:c r="D21" s="74" t="n">
        <x:f>IF(C21=0,0,B21/C21)</x:f>
        <x:v>66290941.01549917</x:v>
      </x:c>
      <x:c r="E21" s="74" t="n">
        <x:f>'Денежный поток'!J21</x:f>
        <x:v>3669399.848266338</x:v>
      </x:c>
      <x:c r="F21" s="74" t="n">
        <x:f>D21*'Вводные'!B28</x:f>
        <x:v>1325818.8203099833</x:v>
      </x:c>
      <x:c r="G21" s="74" t="n">
        <x:f>D21-E21-F21</x:f>
        <x:v>61295722.346922845</x:v>
      </x:c>
    </x:row>
    <x:row r="22">
      <x:c r="A22" t="n">
        <x:v>19</x:v>
      </x:c>
      <x:c r="B22" s="74" t="n">
        <x:f>'Денежный поток'!F22</x:f>
        <x:v>7104590.780247416</x:v>
      </x:c>
      <x:c r="C22" s="88" t="n">
        <x:f>'Вводные'!B27</x:f>
        <x:v>0.1</x:v>
      </x:c>
      <x:c r="D22" s="74" t="n">
        <x:f>IF(C22=0,0,B22/C22)</x:f>
        <x:v>71045907.80247416</x:v>
      </x:c>
      <x:c r="E22" s="74" t="n">
        <x:f>'Денежный поток'!J22</x:f>
        <x:v>1922066.5871871482</x:v>
      </x:c>
      <x:c r="F22" s="74" t="n">
        <x:f>D22*'Вводные'!B28</x:f>
        <x:v>1420918.1560494832</x:v>
      </x:c>
      <x:c r="G22" s="74" t="n">
        <x:f>D22-E22-F22</x:f>
        <x:v>67702923.05923752</x:v>
      </x:c>
    </x:row>
    <x:row r="23">
      <x:c r="A23" t="n">
        <x:v>20</x:v>
      </x:c>
      <x:c r="B23" s="74" t="n">
        <x:f>'Денежный поток'!F23</x:f>
        <x:v>7613945.231033192</x:v>
      </x:c>
      <x:c r="C23" s="88" t="n">
        <x:f>'Вводные'!B27</x:f>
        <x:v>0.1</x:v>
      </x:c>
      <x:c r="D23" s="74" t="n">
        <x:f>IF(C23=0,0,B23/C23)</x:f>
        <x:v>76139452.31033191</x:v>
      </x:c>
      <x:c r="E23" s="74" t="n">
        <x:f>'Денежный поток'!J23</x:f>
        <x:v>3.958120942115784e-8</x:v>
      </x:c>
      <x:c r="F23" s="74" t="n">
        <x:f>D23*'Вводные'!B28</x:f>
        <x:v>1522789.0462066382</x:v>
      </x:c>
      <x:c r="G23" s="74" t="n">
        <x:f>D23-E23-F23</x:f>
        <x:v>74616663.26412523</x:v>
      </x:c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0" hidden="0" customWidth="1"/>
  </x:cols>
  <x:sheetData>
    <x:row r="1">
      <x:c r="A1" s="4" t="str">
        <x:v>Инвестиционная карточка объекта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3">
      <x:c r="A3" s="13" t="str">
        <x:v>КЛЮЧЕВЫЕ ПОКАЗАТЕЛИ</x:v>
      </x:c>
      <x:c r="B3" s="13"/>
      <x:c r="C3" s="13"/>
    </x:row>
    <x:row r="4">
      <x:c r="A4" s="45" t="str">
        <x:v>Показатель</x:v>
      </x:c>
      <x:c r="B4" s="45" t="str">
        <x:v>Значение</x:v>
      </x:c>
    </x:row>
    <x:row r="5">
      <x:c r="A5" t="str">
        <x:v>Полная стоимость входа</x:v>
      </x:c>
      <x:c r="B5" s="74" t="n">
        <x:f>'Вводные'!B6+'Вводные'!B8+'Вводные'!B9</x:f>
        <x:v>20000000</x:v>
      </x:c>
    </x:row>
    <x:row r="6">
      <x:c r="A6" t="str">
        <x:v>Валовая доходность</x:v>
      </x:c>
      <x:c r="B6" s="88" t="n">
        <x:f>IF('Вводные'!B6=0,0,'Вводные'!B10*12/'Вводные'!B6)</x:f>
        <x:v>0.12</x:v>
      </x:c>
    </x:row>
    <x:row r="7">
      <x:c r="A7" t="str">
        <x:v>NOI yield</x:v>
      </x:c>
      <x:c r="B7" s="88" t="n">
        <x:f>IF('Вводные'!B6=0,0,'Денежный поток'!F4/'Вводные'!B6)</x:f>
        <x:v>0.1015</x:v>
      </x:c>
    </x:row>
    <x:row r="8">
      <x:c r="A8" t="str">
        <x:v>LTV</x:v>
      </x:c>
      <x:c r="B8" s="88" t="n">
        <x:f>'Вводные'!B22</x:f>
        <x:v>0.9</x:v>
      </x:c>
    </x:row>
    <x:row r="9">
      <x:c r="A9" t="str">
        <x:v>DSCR, год 1</x:v>
      </x:c>
      <x:c r="B9" s="75" t="n">
        <x:f>'Денежный поток'!K4</x:f>
        <x:v>0.9601407972838827</x:v>
      </x:c>
    </x:row>
    <x:row r="10">
      <x:c r="A10" t="str">
        <x:v>Резерв, руб.</x:v>
      </x:c>
      <x:c r="B10" s="74" t="n">
        <x:f>'Вводные'!B23/12*'Вводные'!B29</x:f>
        <x:v>1057136.6229529118</x:v>
      </x:c>
    </x:row>
    <x:row r="11">
      <x:c r="A11" t="str">
        <x:v>Чистый капитал на 10-й год</x:v>
      </x:c>
      <x:c r="B11" s="74" t="n">
        <x:f>'Выход'!G13</x:f>
        <x:v>24286484.67390418</x:v>
      </x:c>
    </x:row>
    <x:row r="14">
      <x:c r="A14" s="13" t="str">
        <x:v>РЕШЕНИЕ: ПРОВЕРЬТЕ ТРИ ВЕЩИ</x:v>
      </x:c>
      <x:c r="B14" s="13"/>
      <x:c r="C14" s="13"/>
    </x:row>
    <x:row r="15">
      <x:c r="A15" s="49" t="str">
        <x:v>1</x:v>
      </x:c>
      <x:c r="B15" s="90" t="str">
        <x:v>Выдерживает ли План C платеж банку?</x:v>
      </x:c>
      <x:c r="C15" s="49" t="str"/>
    </x:row>
    <x:row r="16">
      <x:c r="A16" s="49" t="str">
        <x:v>2</x:v>
      </x:c>
      <x:c r="B16" s="90" t="str">
        <x:v>Есть ли ликвидационный выход без разрушения капитала?</x:v>
      </x:c>
      <x:c r="C16" s="49" t="str"/>
    </x:row>
    <x:row r="17">
      <x:c r="A17" s="49" t="str">
        <x:v>3</x:v>
      </x:c>
      <x:c r="B17" s="90" t="str">
        <x:v>Проверены ли аренда, документы и техника независимо?</x:v>
      </x:c>
      <x:c r="C17" s="49" t="str"/>
    </x:row>
    <x:row r="18">
      <x:c r="A18" s="49" t="str"/>
      <x:c r="B18" s="92" t="str">
        <x:v>Модель — инструмент отбора, а не банковский график и не налоговая декларация.</x:v>
      </x:c>
      <x:c r="C18" s="92" t="str"/>
    </x:row>
  </x:sheetData>
  <x:mergeCells>
    <x:mergeCell ref="A1:K1"/>
    <x:mergeCell ref="A3:C3"/>
    <x:mergeCell ref="A14:C14"/>
  </x:mergeCells>
  <x:pageMargins left="0.7" right="0.7" top="0.75" bottom="0.75" header="0.3" footer="0.3"/>
  <x:drawing xmlns:r="http://schemas.openxmlformats.org/officeDocument/2006/relationships" r:id="Rc41deccbef734664"/>
</x:worksheet>
</file>